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jmasson\Documents\Current Files\High Use Files\AFP Stuff\Adv Fin Stmt Analysis\"/>
    </mc:Choice>
  </mc:AlternateContent>
  <bookViews>
    <workbookView xWindow="480" yWindow="105" windowWidth="15195" windowHeight="9225" activeTab="4"/>
  </bookViews>
  <sheets>
    <sheet name="PL" sheetId="6" r:id="rId1"/>
    <sheet name="Balance" sheetId="5" r:id="rId2"/>
    <sheet name="CashFlow" sheetId="4" r:id="rId3"/>
    <sheet name="Ratios" sheetId="1" r:id="rId4"/>
    <sheet name="AFN" sheetId="3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5" l="1"/>
  <c r="F22" i="5"/>
  <c r="F20" i="5"/>
  <c r="F19" i="5"/>
  <c r="F18" i="5"/>
  <c r="F17" i="5"/>
  <c r="F14" i="5"/>
  <c r="F12" i="5"/>
  <c r="F7" i="5"/>
  <c r="F8" i="5"/>
  <c r="F9" i="5"/>
  <c r="F10" i="5"/>
  <c r="F6" i="5"/>
  <c r="F6" i="6"/>
  <c r="F7" i="6"/>
  <c r="F8" i="6"/>
  <c r="F9" i="6"/>
  <c r="F10" i="6"/>
  <c r="F11" i="6"/>
  <c r="F12" i="6"/>
  <c r="F13" i="6"/>
  <c r="F14" i="6"/>
  <c r="F15" i="6"/>
  <c r="F16" i="6"/>
  <c r="F17" i="6"/>
  <c r="F5" i="6"/>
  <c r="E21" i="1"/>
  <c r="C25" i="1"/>
  <c r="D25" i="1"/>
  <c r="B25" i="1"/>
  <c r="C19" i="6"/>
  <c r="C32" i="5"/>
  <c r="C6" i="1"/>
  <c r="D19" i="6"/>
  <c r="D32" i="5"/>
  <c r="D6" i="1"/>
  <c r="B19" i="6"/>
  <c r="B32" i="5"/>
  <c r="B6" i="1"/>
  <c r="C14" i="1"/>
  <c r="D14" i="1"/>
  <c r="B14" i="1"/>
  <c r="C5" i="1"/>
  <c r="D5" i="1"/>
  <c r="B5" i="1"/>
  <c r="E15" i="1"/>
  <c r="C13" i="1"/>
  <c r="D13" i="1"/>
  <c r="B13" i="1"/>
  <c r="C15" i="1"/>
  <c r="D15" i="1"/>
  <c r="B15" i="1"/>
  <c r="E11" i="1"/>
  <c r="C11" i="1"/>
  <c r="D11" i="1"/>
  <c r="B11" i="1"/>
  <c r="D23" i="1"/>
  <c r="C23" i="1"/>
  <c r="B23" i="1"/>
  <c r="B27" i="1"/>
  <c r="B16" i="1"/>
  <c r="D18" i="1"/>
  <c r="D19" i="1"/>
  <c r="D20" i="1"/>
  <c r="D21" i="1"/>
  <c r="C18" i="1"/>
  <c r="C19" i="1"/>
  <c r="C20" i="1"/>
  <c r="C21" i="1"/>
  <c r="B18" i="1"/>
  <c r="B19" i="1"/>
  <c r="B20" i="1"/>
  <c r="B21" i="1"/>
  <c r="D12" i="1"/>
  <c r="C12" i="1"/>
  <c r="B12" i="1"/>
  <c r="B10" i="1"/>
  <c r="D10" i="1"/>
  <c r="C10" i="1"/>
  <c r="D7" i="1"/>
  <c r="C7" i="1"/>
  <c r="B7" i="1"/>
  <c r="D4" i="1"/>
  <c r="C4" i="1"/>
  <c r="B4" i="1"/>
  <c r="D27" i="1"/>
  <c r="D16" i="1"/>
  <c r="C27" i="1"/>
  <c r="C16" i="1"/>
  <c r="C9" i="3"/>
  <c r="C11" i="3"/>
  <c r="C14" i="3"/>
  <c r="C13" i="3"/>
  <c r="C12" i="3"/>
  <c r="C8" i="3"/>
  <c r="G9" i="3"/>
  <c r="G11" i="3"/>
  <c r="G14" i="3"/>
  <c r="G13" i="3"/>
  <c r="G12" i="3"/>
  <c r="G8" i="3"/>
  <c r="F9" i="3"/>
  <c r="F11" i="3"/>
  <c r="F14" i="3"/>
  <c r="F13" i="3"/>
  <c r="F12" i="3"/>
  <c r="F8" i="3"/>
  <c r="E9" i="3"/>
  <c r="E11" i="3"/>
  <c r="E14" i="3"/>
  <c r="E13" i="3"/>
  <c r="E12" i="3"/>
  <c r="E8" i="3"/>
  <c r="D9" i="3"/>
  <c r="D11" i="3"/>
  <c r="D14" i="3"/>
  <c r="D13" i="3"/>
  <c r="D12" i="3"/>
  <c r="D8" i="3"/>
  <c r="G10" i="3"/>
  <c r="F10" i="3"/>
  <c r="E10" i="3"/>
  <c r="D10" i="3"/>
  <c r="C10" i="3"/>
</calcChain>
</file>

<file path=xl/sharedStrings.xml><?xml version="1.0" encoding="utf-8"?>
<sst xmlns="http://schemas.openxmlformats.org/spreadsheetml/2006/main" count="111" uniqueCount="97">
  <si>
    <t>Ind. Avg.</t>
  </si>
  <si>
    <t>Current Ratio (CA/CL)</t>
  </si>
  <si>
    <t>Quick Ratio (Cash+AR/CL)</t>
  </si>
  <si>
    <t>Cash Flow to Total Debt</t>
  </si>
  <si>
    <t>Times Interest Earned (OP/Int Exp)</t>
  </si>
  <si>
    <t>LT Debt to Capital (LTD/LTD+TE)</t>
  </si>
  <si>
    <t>Total Liabilities to Total Assets</t>
  </si>
  <si>
    <t>Return on Common Equity</t>
  </si>
  <si>
    <t>Return on Sales (NI/Sales)</t>
  </si>
  <si>
    <t>Interest/Total Debt</t>
  </si>
  <si>
    <t>Economic Value Added (EVA)</t>
  </si>
  <si>
    <t>Days' Inventory</t>
  </si>
  <si>
    <t>Days' Receivables</t>
  </si>
  <si>
    <t>Days' Payables</t>
  </si>
  <si>
    <t>Cash Conversion Cycle</t>
  </si>
  <si>
    <t>$2.0 M</t>
  </si>
  <si>
    <t xml:space="preserve"> </t>
  </si>
  <si>
    <t>Spontanious Liab. To Sales</t>
  </si>
  <si>
    <t>PM</t>
  </si>
  <si>
    <t>Asset/Sales Ratio</t>
  </si>
  <si>
    <t>Sales Increase</t>
  </si>
  <si>
    <t xml:space="preserve">Sales  </t>
  </si>
  <si>
    <t>Profit</t>
  </si>
  <si>
    <t>Assets</t>
  </si>
  <si>
    <t>Spont Increase Liab.</t>
  </si>
  <si>
    <t>Change in Sales</t>
  </si>
  <si>
    <t>Change in Asstes based on 2006 Asstes</t>
  </si>
  <si>
    <t>Retained Earnings</t>
  </si>
  <si>
    <t>AFN=(Change Assets-Change Sp Liab.-Retained Earnings)</t>
  </si>
  <si>
    <t>Medical Technology Company-Income Statements</t>
  </si>
  <si>
    <t>All figures in $1,000</t>
  </si>
  <si>
    <t>Revenues</t>
  </si>
  <si>
    <t>Cost of Goods Sold</t>
  </si>
  <si>
    <t>Gross Profit</t>
  </si>
  <si>
    <t>General Operating Expenses</t>
  </si>
  <si>
    <t>Management Salaries</t>
  </si>
  <si>
    <t>Insurance</t>
  </si>
  <si>
    <t>Depreciation</t>
  </si>
  <si>
    <t>Misc. and Other Expenses</t>
  </si>
  <si>
    <t>Operating Profit</t>
  </si>
  <si>
    <t>Interest Expense</t>
  </si>
  <si>
    <t>Net Profit Before Taxes</t>
  </si>
  <si>
    <t>Income Tax (35%)</t>
  </si>
  <si>
    <t>Net Profit After Taxes</t>
  </si>
  <si>
    <t>Medical Technology Company-Year-End Balance Sheet</t>
  </si>
  <si>
    <t>Asstes</t>
  </si>
  <si>
    <t>Cash &amp; Equivalents</t>
  </si>
  <si>
    <t>Accounts Receivable</t>
  </si>
  <si>
    <t>Inventory</t>
  </si>
  <si>
    <t>Prepaid Expenses</t>
  </si>
  <si>
    <t>Total Current Assets</t>
  </si>
  <si>
    <t>Total Asstes</t>
  </si>
  <si>
    <t>Liabilities &amp; Equity</t>
  </si>
  <si>
    <t>Accounts Payable</t>
  </si>
  <si>
    <t>Deferred Taxes &amp; Wages</t>
  </si>
  <si>
    <t>Notes Payable</t>
  </si>
  <si>
    <t>Current Liabilities</t>
  </si>
  <si>
    <t>Long-Term Debt</t>
  </si>
  <si>
    <t>Total Liabilities</t>
  </si>
  <si>
    <t>Common Stock</t>
  </si>
  <si>
    <t>Total Equity</t>
  </si>
  <si>
    <t>Total Liabilities &amp; Equity</t>
  </si>
  <si>
    <t>Fixed Assets (net)</t>
  </si>
  <si>
    <t>Cash Flows from Operations</t>
  </si>
  <si>
    <t>Net Income</t>
  </si>
  <si>
    <t>Adjustments to Reconcile NI to Cash</t>
  </si>
  <si>
    <t>Increase in Accounts Receivable</t>
  </si>
  <si>
    <t>Increase in Inventory</t>
  </si>
  <si>
    <t>Increase in Pre-Paid Expenses</t>
  </si>
  <si>
    <t>Increase in Accounts Payable</t>
  </si>
  <si>
    <t>Increase in Accrued Taxes/Wages</t>
  </si>
  <si>
    <t>Net Cash From Operating Activities</t>
  </si>
  <si>
    <t>Cash Flows from Investing</t>
  </si>
  <si>
    <t>Capital Expenditures (Net)</t>
  </si>
  <si>
    <t>Depreciation Adjustment</t>
  </si>
  <si>
    <t>Net Cash From Investing</t>
  </si>
  <si>
    <t>Cash Flows from Financing</t>
  </si>
  <si>
    <t>Increase in Notes Payable</t>
  </si>
  <si>
    <t>Increase in Long-Term Debt</t>
  </si>
  <si>
    <t>Increase in Common Stock</t>
  </si>
  <si>
    <t>Net Cash From Financing</t>
  </si>
  <si>
    <t>Net Change in Cash</t>
  </si>
  <si>
    <t>NOPAT (EBIT(1-t))</t>
  </si>
  <si>
    <t>Tax Rate 35%</t>
  </si>
  <si>
    <t>Invester Supplied Capital</t>
  </si>
  <si>
    <t>WACC</t>
  </si>
  <si>
    <t>After Tax Cost of Capital</t>
  </si>
  <si>
    <t>Total Asset Turnover (Sales/TA)</t>
  </si>
  <si>
    <t>Return on Total Assets (NI/TA)</t>
  </si>
  <si>
    <t>Equity Multiplier (TA/EQ)</t>
  </si>
  <si>
    <t>Net Cash Flow (NI + Dep)</t>
  </si>
  <si>
    <t>Total Debt (LT Debt + Notes)</t>
  </si>
  <si>
    <t>Medical Technology Co.-Statement of Cash Flows-2014-2015</t>
  </si>
  <si>
    <t>Medical Technology Company-Key Financial Ratios-2013-2015 Question #1</t>
  </si>
  <si>
    <t>Medical Technology Company-Forcasting for 2016 - Sensitivity Analysis</t>
  </si>
  <si>
    <t>Ratios</t>
  </si>
  <si>
    <t>% of 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</si>
</sst>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5" formatCode="&quot;$&quot;#,##0.000"/>
    <numFmt numFmtId="166" formatCode="0.0%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3" borderId="1" xfId="0" applyFont="1" applyFill="1" applyBorder="1"/>
    <xf numFmtId="6" fontId="0" fillId="3" borderId="1" xfId="0" applyNumberFormat="1" applyFill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3" fontId="0" fillId="0" borderId="0" xfId="0" applyNumberFormat="1"/>
    <xf numFmtId="3" fontId="0" fillId="0" borderId="2" xfId="0" applyNumberFormat="1" applyBorder="1"/>
    <xf numFmtId="3" fontId="0" fillId="0" borderId="2" xfId="0" applyNumberFormat="1" applyFill="1" applyBorder="1"/>
    <xf numFmtId="3" fontId="2" fillId="0" borderId="0" xfId="0" applyNumberFormat="1" applyFont="1"/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2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166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2" sqref="F2:F4"/>
    </sheetView>
  </sheetViews>
  <sheetFormatPr defaultColWidth="8.85546875" defaultRowHeight="12.75" x14ac:dyDescent="0.2"/>
  <cols>
    <col min="1" max="1" width="27.28515625" customWidth="1"/>
  </cols>
  <sheetData>
    <row r="1" spans="1:6" x14ac:dyDescent="0.2">
      <c r="A1" s="1" t="s">
        <v>29</v>
      </c>
    </row>
    <row r="2" spans="1:6" x14ac:dyDescent="0.2">
      <c r="A2" t="s">
        <v>30</v>
      </c>
      <c r="F2" s="2">
        <v>2015</v>
      </c>
    </row>
    <row r="3" spans="1:6" x14ac:dyDescent="0.2">
      <c r="F3" s="2" t="s">
        <v>96</v>
      </c>
    </row>
    <row r="4" spans="1:6" x14ac:dyDescent="0.2">
      <c r="B4" s="1">
        <v>2013</v>
      </c>
      <c r="C4" s="1">
        <v>2014</v>
      </c>
      <c r="D4" s="1">
        <v>2015</v>
      </c>
      <c r="F4" s="2" t="s">
        <v>95</v>
      </c>
    </row>
    <row r="5" spans="1:6" x14ac:dyDescent="0.2">
      <c r="A5" t="s">
        <v>31</v>
      </c>
      <c r="B5" s="18">
        <v>35435</v>
      </c>
      <c r="C5" s="18">
        <v>44294</v>
      </c>
      <c r="D5" s="18">
        <v>55367</v>
      </c>
      <c r="F5" s="28">
        <f>D5/$D$5</f>
        <v>1</v>
      </c>
    </row>
    <row r="6" spans="1:6" x14ac:dyDescent="0.2">
      <c r="A6" t="s">
        <v>32</v>
      </c>
      <c r="B6" s="19">
        <v>21071</v>
      </c>
      <c r="C6" s="19">
        <v>25690</v>
      </c>
      <c r="D6" s="19">
        <v>31006</v>
      </c>
      <c r="F6" s="28">
        <f t="shared" ref="F6:F17" si="0">D6/$D$5</f>
        <v>0.56000866942402516</v>
      </c>
    </row>
    <row r="7" spans="1:6" x14ac:dyDescent="0.2">
      <c r="A7" s="1" t="s">
        <v>33</v>
      </c>
      <c r="B7" s="21">
        <v>14364</v>
      </c>
      <c r="C7" s="21">
        <v>18603</v>
      </c>
      <c r="D7" s="21">
        <v>24362</v>
      </c>
      <c r="F7" s="28">
        <f t="shared" si="0"/>
        <v>0.44000939187602722</v>
      </c>
    </row>
    <row r="8" spans="1:6" x14ac:dyDescent="0.2">
      <c r="A8" t="s">
        <v>34</v>
      </c>
      <c r="B8" s="18">
        <v>4846</v>
      </c>
      <c r="C8" s="18">
        <v>5594</v>
      </c>
      <c r="D8" s="18">
        <v>6642</v>
      </c>
      <c r="F8" s="28">
        <f t="shared" si="0"/>
        <v>0.11996315494789316</v>
      </c>
    </row>
    <row r="9" spans="1:6" x14ac:dyDescent="0.2">
      <c r="A9" t="s">
        <v>35</v>
      </c>
      <c r="B9" s="18">
        <v>2964</v>
      </c>
      <c r="C9" s="18">
        <v>3531</v>
      </c>
      <c r="D9" s="18">
        <v>3833</v>
      </c>
      <c r="F9" s="28">
        <f t="shared" si="0"/>
        <v>6.9228963100763999E-2</v>
      </c>
    </row>
    <row r="10" spans="1:6" x14ac:dyDescent="0.2">
      <c r="A10" t="s">
        <v>36</v>
      </c>
      <c r="B10" s="18">
        <v>1053</v>
      </c>
      <c r="C10" s="18">
        <v>1214</v>
      </c>
      <c r="D10" s="18">
        <v>1364</v>
      </c>
      <c r="F10" s="28">
        <f t="shared" si="0"/>
        <v>2.4635613271443278E-2</v>
      </c>
    </row>
    <row r="11" spans="1:6" x14ac:dyDescent="0.2">
      <c r="A11" t="s">
        <v>37</v>
      </c>
      <c r="B11" s="18">
        <v>1243</v>
      </c>
      <c r="C11" s="18">
        <v>1561</v>
      </c>
      <c r="D11" s="18">
        <v>1645</v>
      </c>
      <c r="F11" s="28">
        <f t="shared" si="0"/>
        <v>2.9710838586161432E-2</v>
      </c>
    </row>
    <row r="12" spans="1:6" x14ac:dyDescent="0.2">
      <c r="A12" t="s">
        <v>38</v>
      </c>
      <c r="B12" s="16">
        <v>993</v>
      </c>
      <c r="C12" s="19">
        <v>1138</v>
      </c>
      <c r="D12" s="19">
        <v>1340</v>
      </c>
      <c r="F12" s="28">
        <f t="shared" si="0"/>
        <v>2.420214207018621E-2</v>
      </c>
    </row>
    <row r="13" spans="1:6" x14ac:dyDescent="0.2">
      <c r="A13" s="1" t="s">
        <v>39</v>
      </c>
      <c r="B13" s="21">
        <v>3265</v>
      </c>
      <c r="C13" s="21">
        <v>5566</v>
      </c>
      <c r="D13" s="21">
        <v>9538</v>
      </c>
      <c r="F13" s="28">
        <f t="shared" si="0"/>
        <v>0.17226867989957917</v>
      </c>
    </row>
    <row r="14" spans="1:6" x14ac:dyDescent="0.2">
      <c r="A14" t="s">
        <v>40</v>
      </c>
      <c r="B14" s="19">
        <v>2122</v>
      </c>
      <c r="C14" s="19">
        <v>3825</v>
      </c>
      <c r="D14" s="19">
        <v>6642</v>
      </c>
      <c r="F14" s="28">
        <f t="shared" si="0"/>
        <v>0.11996315494789316</v>
      </c>
    </row>
    <row r="15" spans="1:6" x14ac:dyDescent="0.2">
      <c r="A15" s="1" t="s">
        <v>41</v>
      </c>
      <c r="B15" s="21">
        <v>1143</v>
      </c>
      <c r="C15" s="21">
        <v>1741</v>
      </c>
      <c r="D15" s="21">
        <v>2895</v>
      </c>
      <c r="F15" s="28">
        <f t="shared" si="0"/>
        <v>5.2287463651633642E-2</v>
      </c>
    </row>
    <row r="16" spans="1:6" x14ac:dyDescent="0.2">
      <c r="A16" t="s">
        <v>42</v>
      </c>
      <c r="B16" s="17">
        <v>400</v>
      </c>
      <c r="C16" s="17">
        <v>609</v>
      </c>
      <c r="D16" s="20">
        <v>1013</v>
      </c>
      <c r="F16" s="28">
        <f t="shared" si="0"/>
        <v>1.8296096953058682E-2</v>
      </c>
    </row>
    <row r="17" spans="1:6" x14ac:dyDescent="0.2">
      <c r="A17" s="1" t="s">
        <v>43</v>
      </c>
      <c r="B17" s="21">
        <v>743</v>
      </c>
      <c r="C17" s="21">
        <v>1132</v>
      </c>
      <c r="D17" s="21">
        <v>1882</v>
      </c>
      <c r="F17" s="28">
        <f t="shared" si="0"/>
        <v>3.3991366698574964E-2</v>
      </c>
    </row>
    <row r="19" spans="1:6" x14ac:dyDescent="0.2">
      <c r="A19" s="1" t="s">
        <v>90</v>
      </c>
      <c r="B19" s="18">
        <f>B17+B11</f>
        <v>1986</v>
      </c>
      <c r="C19" s="18">
        <f t="shared" ref="C19:D19" si="1">C17+C11</f>
        <v>2693</v>
      </c>
      <c r="D19" s="18">
        <f t="shared" si="1"/>
        <v>3527</v>
      </c>
    </row>
  </sheetData>
  <phoneticPr fontId="3" type="noConversion"/>
  <pageMargins left="0.75" right="0.75" top="1" bottom="1" header="0.5" footer="0.5"/>
  <pageSetup orientation="portrait" horizont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F24" sqref="F24"/>
    </sheetView>
  </sheetViews>
  <sheetFormatPr defaultColWidth="8.85546875" defaultRowHeight="12.75" x14ac:dyDescent="0.2"/>
  <cols>
    <col min="1" max="1" width="23.85546875" customWidth="1"/>
  </cols>
  <sheetData>
    <row r="1" spans="1:6" x14ac:dyDescent="0.2">
      <c r="A1" s="1" t="s">
        <v>44</v>
      </c>
    </row>
    <row r="2" spans="1:6" x14ac:dyDescent="0.2">
      <c r="A2" t="s">
        <v>30</v>
      </c>
      <c r="F2" s="2">
        <v>2015</v>
      </c>
    </row>
    <row r="3" spans="1:6" x14ac:dyDescent="0.2">
      <c r="F3" s="2" t="s">
        <v>96</v>
      </c>
    </row>
    <row r="4" spans="1:6" x14ac:dyDescent="0.2">
      <c r="B4" s="1">
        <v>2013</v>
      </c>
      <c r="C4" s="1">
        <v>2014</v>
      </c>
      <c r="D4" s="1">
        <v>2015</v>
      </c>
      <c r="F4" s="2" t="s">
        <v>95</v>
      </c>
    </row>
    <row r="5" spans="1:6" x14ac:dyDescent="0.2">
      <c r="A5" s="1" t="s">
        <v>45</v>
      </c>
      <c r="B5" t="s">
        <v>16</v>
      </c>
      <c r="C5" t="s">
        <v>16</v>
      </c>
      <c r="D5" t="s">
        <v>16</v>
      </c>
    </row>
    <row r="6" spans="1:6" x14ac:dyDescent="0.2">
      <c r="A6" t="s">
        <v>46</v>
      </c>
      <c r="B6">
        <v>787</v>
      </c>
      <c r="C6">
        <v>524</v>
      </c>
      <c r="D6">
        <v>72</v>
      </c>
      <c r="F6" s="28">
        <f>D6/PL!$D$5</f>
        <v>1.3004136037711995E-3</v>
      </c>
    </row>
    <row r="7" spans="1:6" x14ac:dyDescent="0.2">
      <c r="A7" t="s">
        <v>47</v>
      </c>
      <c r="B7" s="18">
        <v>3531</v>
      </c>
      <c r="C7" s="18">
        <v>5001</v>
      </c>
      <c r="D7" s="18">
        <v>6983</v>
      </c>
      <c r="F7" s="28">
        <f>D7/PL!$D$5</f>
        <v>0.12612205826575396</v>
      </c>
    </row>
    <row r="8" spans="1:6" x14ac:dyDescent="0.2">
      <c r="A8" t="s">
        <v>48</v>
      </c>
      <c r="B8" s="18">
        <v>7166</v>
      </c>
      <c r="C8" s="18">
        <v>9579</v>
      </c>
      <c r="D8" s="18">
        <v>12014</v>
      </c>
      <c r="F8" s="28">
        <f>D8/PL!$D$5</f>
        <v>0.21698845882926654</v>
      </c>
    </row>
    <row r="9" spans="1:6" x14ac:dyDescent="0.2">
      <c r="A9" t="s">
        <v>49</v>
      </c>
      <c r="B9" s="16">
        <v>730</v>
      </c>
      <c r="C9" s="19">
        <v>1053</v>
      </c>
      <c r="D9" s="19">
        <v>1231</v>
      </c>
      <c r="F9" s="28">
        <f>D9/PL!$D$5</f>
        <v>2.2233460364477035E-2</v>
      </c>
    </row>
    <row r="10" spans="1:6" x14ac:dyDescent="0.2">
      <c r="A10" t="s">
        <v>50</v>
      </c>
      <c r="B10" s="18">
        <v>12214</v>
      </c>
      <c r="C10" s="18">
        <v>16157</v>
      </c>
      <c r="D10" s="18">
        <v>20300</v>
      </c>
      <c r="F10" s="28">
        <f>D10/PL!$D$5</f>
        <v>0.36664439106326874</v>
      </c>
    </row>
    <row r="12" spans="1:6" x14ac:dyDescent="0.2">
      <c r="A12" t="s">
        <v>62</v>
      </c>
      <c r="B12" s="18">
        <v>21351</v>
      </c>
      <c r="C12" s="18">
        <v>35618</v>
      </c>
      <c r="D12" s="18">
        <v>51845</v>
      </c>
      <c r="F12" s="28">
        <f>D12/PL!$D$5</f>
        <v>0.93638810121552551</v>
      </c>
    </row>
    <row r="14" spans="1:6" x14ac:dyDescent="0.2">
      <c r="A14" s="1" t="s">
        <v>51</v>
      </c>
      <c r="B14" s="21">
        <v>33565</v>
      </c>
      <c r="C14" s="21">
        <v>51775</v>
      </c>
      <c r="D14" s="21">
        <v>72144</v>
      </c>
      <c r="F14" s="28">
        <f>D14/PL!$D$5</f>
        <v>1.3030144309787419</v>
      </c>
    </row>
    <row r="16" spans="1:6" x14ac:dyDescent="0.2">
      <c r="A16" s="1" t="s">
        <v>52</v>
      </c>
    </row>
    <row r="17" spans="1:6" x14ac:dyDescent="0.2">
      <c r="A17" t="s">
        <v>53</v>
      </c>
      <c r="B17" s="18">
        <v>1750</v>
      </c>
      <c r="C17" s="18">
        <v>2029</v>
      </c>
      <c r="D17" s="18">
        <v>2281</v>
      </c>
      <c r="F17" s="28">
        <f>D17/PL!$D$5</f>
        <v>4.1197825419473692E-2</v>
      </c>
    </row>
    <row r="18" spans="1:6" x14ac:dyDescent="0.2">
      <c r="A18" t="s">
        <v>54</v>
      </c>
      <c r="B18">
        <v>733</v>
      </c>
      <c r="C18" s="18">
        <v>1021</v>
      </c>
      <c r="D18" s="18">
        <v>1325</v>
      </c>
      <c r="F18" s="28">
        <f>D18/PL!$D$5</f>
        <v>2.3931222569400546E-2</v>
      </c>
    </row>
    <row r="19" spans="1:6" x14ac:dyDescent="0.2">
      <c r="A19" t="s">
        <v>55</v>
      </c>
      <c r="B19" s="19">
        <v>1052</v>
      </c>
      <c r="C19" s="19">
        <v>2236</v>
      </c>
      <c r="D19" s="19">
        <v>3508</v>
      </c>
      <c r="F19" s="28">
        <f>D19/PL!$D$5</f>
        <v>6.3359040583741214E-2</v>
      </c>
    </row>
    <row r="20" spans="1:6" x14ac:dyDescent="0.2">
      <c r="A20" t="s">
        <v>56</v>
      </c>
      <c r="B20" s="18">
        <v>3535</v>
      </c>
      <c r="C20" s="18">
        <v>5286</v>
      </c>
      <c r="D20" s="18">
        <v>7114</v>
      </c>
      <c r="F20" s="28">
        <f>D20/PL!$D$5</f>
        <v>0.12848808857261546</v>
      </c>
    </row>
    <row r="22" spans="1:6" x14ac:dyDescent="0.2">
      <c r="A22" t="s">
        <v>57</v>
      </c>
      <c r="B22" s="18">
        <v>13477</v>
      </c>
      <c r="C22" s="18">
        <v>22804</v>
      </c>
      <c r="D22" s="18">
        <v>33463</v>
      </c>
      <c r="F22" s="28">
        <f>D22/PL!$D$5</f>
        <v>0.60438528365271738</v>
      </c>
    </row>
    <row r="24" spans="1:6" x14ac:dyDescent="0.2">
      <c r="A24" t="s">
        <v>58</v>
      </c>
      <c r="B24" s="18">
        <v>17012</v>
      </c>
      <c r="C24" s="18">
        <v>28090</v>
      </c>
      <c r="D24" s="18">
        <v>40577</v>
      </c>
      <c r="F24" s="28">
        <f>D24/PL!$D$5</f>
        <v>0.73287337222533278</v>
      </c>
    </row>
    <row r="26" spans="1:6" x14ac:dyDescent="0.2">
      <c r="A26" t="s">
        <v>59</v>
      </c>
      <c r="B26" s="18">
        <v>15000</v>
      </c>
      <c r="C26" s="18">
        <v>21000</v>
      </c>
      <c r="D26" s="18">
        <v>27000</v>
      </c>
    </row>
    <row r="27" spans="1:6" x14ac:dyDescent="0.2">
      <c r="A27" t="s">
        <v>27</v>
      </c>
      <c r="B27" s="19">
        <v>1553</v>
      </c>
      <c r="C27" s="19">
        <v>2685</v>
      </c>
      <c r="D27" s="19">
        <v>4567</v>
      </c>
    </row>
    <row r="28" spans="1:6" x14ac:dyDescent="0.2">
      <c r="A28" t="s">
        <v>60</v>
      </c>
      <c r="B28" s="18">
        <v>16553</v>
      </c>
      <c r="C28" s="18">
        <v>23685</v>
      </c>
      <c r="D28" s="18">
        <v>31567</v>
      </c>
    </row>
    <row r="30" spans="1:6" x14ac:dyDescent="0.2">
      <c r="A30" s="1" t="s">
        <v>61</v>
      </c>
      <c r="B30" s="21">
        <v>33565</v>
      </c>
      <c r="C30" s="21">
        <v>51775</v>
      </c>
      <c r="D30" s="21">
        <v>72144</v>
      </c>
    </row>
    <row r="32" spans="1:6" x14ac:dyDescent="0.2">
      <c r="A32" s="24" t="s">
        <v>91</v>
      </c>
      <c r="B32" s="18">
        <f>B19+B22</f>
        <v>14529</v>
      </c>
      <c r="C32" s="18">
        <f t="shared" ref="C32:D32" si="0">C19+C22</f>
        <v>25040</v>
      </c>
      <c r="D32" s="18">
        <f t="shared" si="0"/>
        <v>36971</v>
      </c>
    </row>
  </sheetData>
  <phoneticPr fontId="3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4" sqref="F4"/>
    </sheetView>
  </sheetViews>
  <sheetFormatPr defaultColWidth="8.85546875" defaultRowHeight="12.75" x14ac:dyDescent="0.2"/>
  <cols>
    <col min="2" max="2" width="30.140625" customWidth="1"/>
    <col min="3" max="3" width="9.42578125" customWidth="1"/>
  </cols>
  <sheetData>
    <row r="1" spans="1:5" x14ac:dyDescent="0.2">
      <c r="A1" s="1" t="s">
        <v>92</v>
      </c>
    </row>
    <row r="2" spans="1:5" x14ac:dyDescent="0.2">
      <c r="A2" t="s">
        <v>30</v>
      </c>
    </row>
    <row r="4" spans="1:5" x14ac:dyDescent="0.2">
      <c r="B4" t="s">
        <v>16</v>
      </c>
      <c r="D4">
        <v>2014</v>
      </c>
      <c r="E4">
        <v>2015</v>
      </c>
    </row>
    <row r="5" spans="1:5" x14ac:dyDescent="0.2">
      <c r="A5" s="1" t="s">
        <v>63</v>
      </c>
    </row>
    <row r="6" spans="1:5" x14ac:dyDescent="0.2">
      <c r="A6" t="s">
        <v>64</v>
      </c>
      <c r="D6" s="18">
        <v>1132</v>
      </c>
      <c r="E6" s="18">
        <v>1882</v>
      </c>
    </row>
    <row r="7" spans="1:5" x14ac:dyDescent="0.2">
      <c r="A7" t="s">
        <v>65</v>
      </c>
    </row>
    <row r="8" spans="1:5" x14ac:dyDescent="0.2">
      <c r="B8" t="s">
        <v>37</v>
      </c>
      <c r="D8" s="18">
        <v>1561</v>
      </c>
      <c r="E8" s="18">
        <v>1645</v>
      </c>
    </row>
    <row r="9" spans="1:5" x14ac:dyDescent="0.2">
      <c r="B9" t="s">
        <v>66</v>
      </c>
      <c r="D9" s="18">
        <v>-1470</v>
      </c>
      <c r="E9" s="18">
        <v>-1983</v>
      </c>
    </row>
    <row r="10" spans="1:5" x14ac:dyDescent="0.2">
      <c r="B10" t="s">
        <v>67</v>
      </c>
      <c r="D10" s="18">
        <v>-2413</v>
      </c>
      <c r="E10" s="18">
        <v>-2435</v>
      </c>
    </row>
    <row r="11" spans="1:5" x14ac:dyDescent="0.2">
      <c r="B11" t="s">
        <v>68</v>
      </c>
      <c r="D11" s="18">
        <v>-323</v>
      </c>
      <c r="E11" s="18">
        <v>-177</v>
      </c>
    </row>
    <row r="12" spans="1:5" x14ac:dyDescent="0.2">
      <c r="B12" t="s">
        <v>69</v>
      </c>
      <c r="D12" s="18">
        <v>279</v>
      </c>
      <c r="E12" s="18">
        <v>252</v>
      </c>
    </row>
    <row r="13" spans="1:5" x14ac:dyDescent="0.2">
      <c r="B13" t="s">
        <v>70</v>
      </c>
      <c r="D13" s="18">
        <v>288</v>
      </c>
      <c r="E13" s="18">
        <v>304</v>
      </c>
    </row>
    <row r="14" spans="1:5" x14ac:dyDescent="0.2">
      <c r="A14" t="s">
        <v>71</v>
      </c>
      <c r="D14" s="21">
        <v>-947</v>
      </c>
      <c r="E14" s="21">
        <v>-511</v>
      </c>
    </row>
    <row r="16" spans="1:5" x14ac:dyDescent="0.2">
      <c r="A16" s="1" t="s">
        <v>72</v>
      </c>
    </row>
    <row r="17" spans="1:5" x14ac:dyDescent="0.2">
      <c r="A17" t="s">
        <v>73</v>
      </c>
      <c r="D17" s="18">
        <v>-14266</v>
      </c>
      <c r="E17" s="18">
        <v>-16227</v>
      </c>
    </row>
    <row r="18" spans="1:5" x14ac:dyDescent="0.2">
      <c r="B18" t="s">
        <v>74</v>
      </c>
      <c r="D18" s="18">
        <v>-1561</v>
      </c>
      <c r="E18" s="18">
        <v>-1645</v>
      </c>
    </row>
    <row r="19" spans="1:5" x14ac:dyDescent="0.2">
      <c r="A19" t="s">
        <v>75</v>
      </c>
      <c r="D19" s="21">
        <v>-15827</v>
      </c>
      <c r="E19" s="21">
        <v>-17872</v>
      </c>
    </row>
    <row r="21" spans="1:5" x14ac:dyDescent="0.2">
      <c r="A21" s="1" t="s">
        <v>76</v>
      </c>
    </row>
    <row r="22" spans="1:5" x14ac:dyDescent="0.2">
      <c r="A22" t="s">
        <v>77</v>
      </c>
      <c r="D22" s="18">
        <v>1184</v>
      </c>
      <c r="E22" s="18">
        <v>1272</v>
      </c>
    </row>
    <row r="23" spans="1:5" x14ac:dyDescent="0.2">
      <c r="A23" t="s">
        <v>78</v>
      </c>
      <c r="D23" s="18">
        <v>9327</v>
      </c>
      <c r="E23" s="18">
        <v>10659</v>
      </c>
    </row>
    <row r="24" spans="1:5" x14ac:dyDescent="0.2">
      <c r="A24" t="s">
        <v>79</v>
      </c>
      <c r="D24" s="18">
        <v>6000</v>
      </c>
      <c r="E24" s="18">
        <v>6000</v>
      </c>
    </row>
    <row r="25" spans="1:5" x14ac:dyDescent="0.2">
      <c r="A25" t="s">
        <v>80</v>
      </c>
      <c r="D25" s="21">
        <v>16511</v>
      </c>
      <c r="E25" s="21">
        <v>17931</v>
      </c>
    </row>
    <row r="27" spans="1:5" x14ac:dyDescent="0.2">
      <c r="A27" s="1" t="s">
        <v>81</v>
      </c>
      <c r="D27" s="21">
        <v>-263</v>
      </c>
      <c r="E27" s="21">
        <v>-452</v>
      </c>
    </row>
  </sheetData>
  <phoneticPr fontId="3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25" sqref="B25"/>
    </sheetView>
  </sheetViews>
  <sheetFormatPr defaultColWidth="8.85546875" defaultRowHeight="12.75" x14ac:dyDescent="0.2"/>
  <cols>
    <col min="1" max="1" width="32" customWidth="1"/>
    <col min="2" max="2" width="11.42578125" bestFit="1" customWidth="1"/>
    <col min="3" max="3" width="12.42578125" customWidth="1"/>
    <col min="4" max="4" width="11.42578125" bestFit="1" customWidth="1"/>
    <col min="5" max="5" width="10.28515625" bestFit="1" customWidth="1"/>
  </cols>
  <sheetData>
    <row r="1" spans="1:5" x14ac:dyDescent="0.2">
      <c r="A1" s="1" t="s">
        <v>93</v>
      </c>
    </row>
    <row r="3" spans="1:5" x14ac:dyDescent="0.2">
      <c r="B3" s="2">
        <v>2013</v>
      </c>
      <c r="C3" s="2">
        <v>2014</v>
      </c>
      <c r="D3" s="2">
        <v>2015</v>
      </c>
      <c r="E3" s="2" t="s">
        <v>0</v>
      </c>
    </row>
    <row r="4" spans="1:5" x14ac:dyDescent="0.2">
      <c r="A4" s="1" t="s">
        <v>1</v>
      </c>
      <c r="B4" s="23">
        <f>Balance!B10/Balance!B20</f>
        <v>3.4551626591230553</v>
      </c>
      <c r="C4" s="23">
        <f>Balance!C10/Balance!C20</f>
        <v>3.0565645100264849</v>
      </c>
      <c r="D4" s="23">
        <f>Balance!D10/Balance!D20</f>
        <v>2.8535282541467528</v>
      </c>
      <c r="E4" s="3">
        <v>3.5</v>
      </c>
    </row>
    <row r="5" spans="1:5" x14ac:dyDescent="0.2">
      <c r="A5" s="1" t="s">
        <v>2</v>
      </c>
      <c r="B5" s="23">
        <f>(Balance!B6+Balance!B7)/Balance!B20</f>
        <v>1.2214992927864214</v>
      </c>
      <c r="C5" s="23">
        <f>(Balance!C6+Balance!C7)/Balance!C20</f>
        <v>1.0452137722285282</v>
      </c>
      <c r="D5" s="23">
        <f>(Balance!D6+Balance!D7)/Balance!D20</f>
        <v>0.99170649423671631</v>
      </c>
      <c r="E5" s="3">
        <v>1.25</v>
      </c>
    </row>
    <row r="6" spans="1:5" x14ac:dyDescent="0.2">
      <c r="A6" s="1" t="s">
        <v>3</v>
      </c>
      <c r="B6" s="25">
        <f>PL!B19/Balance!B32</f>
        <v>0.13669213297542845</v>
      </c>
      <c r="C6" s="25">
        <f>PL!C19/Balance!C32</f>
        <v>0.1075479233226837</v>
      </c>
      <c r="D6" s="25">
        <f>PL!D19/Balance!D32</f>
        <v>9.5399096589218579E-2</v>
      </c>
      <c r="E6" s="3">
        <v>0.15</v>
      </c>
    </row>
    <row r="7" spans="1:5" x14ac:dyDescent="0.2">
      <c r="A7" s="1" t="s">
        <v>4</v>
      </c>
      <c r="B7" s="23">
        <f>PL!B13/PL!B14</f>
        <v>1.5386427898209236</v>
      </c>
      <c r="C7" s="23">
        <f>PL!C13/PL!C14</f>
        <v>1.4551633986928105</v>
      </c>
      <c r="D7" s="23">
        <f>PL!D13/PL!D14</f>
        <v>1.4360132490213791</v>
      </c>
      <c r="E7" s="3">
        <v>1.65</v>
      </c>
    </row>
    <row r="8" spans="1:5" x14ac:dyDescent="0.2">
      <c r="A8" s="1" t="s">
        <v>5</v>
      </c>
      <c r="B8" s="4">
        <v>0.45</v>
      </c>
      <c r="C8" s="4">
        <v>0.49</v>
      </c>
      <c r="D8" s="4">
        <v>0.52</v>
      </c>
      <c r="E8" s="4">
        <v>0.45</v>
      </c>
    </row>
    <row r="9" spans="1:5" x14ac:dyDescent="0.2">
      <c r="A9" s="1" t="s">
        <v>6</v>
      </c>
      <c r="B9" s="4">
        <v>0.51</v>
      </c>
      <c r="C9" s="4">
        <v>0.54</v>
      </c>
      <c r="D9" s="4">
        <v>0.56000000000000005</v>
      </c>
      <c r="E9" s="4">
        <v>0.5</v>
      </c>
    </row>
    <row r="10" spans="1:5" x14ac:dyDescent="0.2">
      <c r="A10" s="1" t="s">
        <v>8</v>
      </c>
      <c r="B10" s="5">
        <f>PL!B17/PL!B5</f>
        <v>2.0967969521659375E-2</v>
      </c>
      <c r="C10" s="5">
        <f>CashFlow!D6/PL!C5</f>
        <v>2.555650878222784E-2</v>
      </c>
      <c r="D10" s="5">
        <f>CashFlow!E6/PL!D5</f>
        <v>3.3991366698574964E-2</v>
      </c>
      <c r="E10" s="5">
        <v>0.05</v>
      </c>
    </row>
    <row r="11" spans="1:5" x14ac:dyDescent="0.2">
      <c r="A11" s="1" t="s">
        <v>87</v>
      </c>
      <c r="B11" s="23">
        <f>PL!B5/Balance!B14</f>
        <v>1.055712796067332</v>
      </c>
      <c r="C11" s="23">
        <f>PL!C5/Balance!C14</f>
        <v>0.85550941574118788</v>
      </c>
      <c r="D11" s="23">
        <f>PL!D5/Balance!D14</f>
        <v>0.76745120869372363</v>
      </c>
      <c r="E11" s="23">
        <f>E12/E10</f>
        <v>0.89999999999999991</v>
      </c>
    </row>
    <row r="12" spans="1:5" x14ac:dyDescent="0.2">
      <c r="A12" s="1" t="s">
        <v>88</v>
      </c>
      <c r="B12" s="5">
        <f>PL!B17/Balance!B14</f>
        <v>2.2136153731565619E-2</v>
      </c>
      <c r="C12" s="5">
        <f>PL!C17/Balance!C14</f>
        <v>2.1863833896668277E-2</v>
      </c>
      <c r="D12" s="5">
        <f>PL!D17/Balance!D14</f>
        <v>2.6086715457972944E-2</v>
      </c>
      <c r="E12" s="5">
        <v>4.4999999999999998E-2</v>
      </c>
    </row>
    <row r="13" spans="1:5" x14ac:dyDescent="0.2">
      <c r="A13" s="1" t="s">
        <v>89</v>
      </c>
      <c r="B13" s="23">
        <f>Balance!B14/Balance!B28</f>
        <v>2.0277291125475743</v>
      </c>
      <c r="C13" s="23">
        <f>Balance!C14/Balance!C28</f>
        <v>2.1859826894659067</v>
      </c>
      <c r="D13" s="23">
        <f>Balance!D14/Balance!D28</f>
        <v>2.2854246523267969</v>
      </c>
      <c r="E13" s="23">
        <v>1.25</v>
      </c>
    </row>
    <row r="14" spans="1:5" x14ac:dyDescent="0.2">
      <c r="A14" s="1" t="s">
        <v>9</v>
      </c>
      <c r="B14" s="5">
        <f>PL!B14/Balance!B32</f>
        <v>0.14605272214192305</v>
      </c>
      <c r="C14" s="5">
        <f>PL!C14/Balance!C32</f>
        <v>0.15275559105431311</v>
      </c>
      <c r="D14" s="5">
        <f>PL!D14/Balance!D32</f>
        <v>0.17965432365908415</v>
      </c>
      <c r="E14" s="5">
        <v>0.125</v>
      </c>
    </row>
    <row r="15" spans="1:5" x14ac:dyDescent="0.2">
      <c r="A15" s="1" t="s">
        <v>7</v>
      </c>
      <c r="B15" s="5">
        <f>PL!B17/Balance!B28</f>
        <v>4.4886123361324234E-2</v>
      </c>
      <c r="C15" s="5">
        <f>PL!C17/Balance!C28</f>
        <v>4.7793962423474771E-2</v>
      </c>
      <c r="D15" s="5">
        <f>PL!D17/Balance!D28</f>
        <v>5.9619222605885897E-2</v>
      </c>
      <c r="E15" s="5">
        <f>E12*E13</f>
        <v>5.6249999999999994E-2</v>
      </c>
    </row>
    <row r="16" spans="1:5" x14ac:dyDescent="0.2">
      <c r="A16" s="1" t="s">
        <v>10</v>
      </c>
      <c r="B16" s="27">
        <f>B23-B27</f>
        <v>-880.75</v>
      </c>
      <c r="C16" s="27">
        <f>C23-C27</f>
        <v>-1031.0000000000005</v>
      </c>
      <c r="D16" s="27">
        <f>D23-D27</f>
        <v>-303.30000000000018</v>
      </c>
      <c r="E16" s="3" t="s">
        <v>15</v>
      </c>
    </row>
    <row r="17" spans="1:8" x14ac:dyDescent="0.2">
      <c r="A17" s="1"/>
      <c r="B17" s="3"/>
      <c r="C17" s="3"/>
      <c r="D17" s="3"/>
      <c r="E17" s="3"/>
    </row>
    <row r="18" spans="1:8" x14ac:dyDescent="0.2">
      <c r="A18" s="1" t="s">
        <v>11</v>
      </c>
      <c r="B18" s="23">
        <f>Balance!B8/PL!B6*365</f>
        <v>124.13221963836553</v>
      </c>
      <c r="C18" s="23">
        <f>Balance!C8/PL!C6*365</f>
        <v>136.09711950175168</v>
      </c>
      <c r="D18" s="23">
        <f>Balance!D8/PL!D6*365</f>
        <v>141.42778817003162</v>
      </c>
      <c r="E18" s="6">
        <v>110</v>
      </c>
      <c r="F18" t="s">
        <v>16</v>
      </c>
    </row>
    <row r="19" spans="1:8" x14ac:dyDescent="0.2">
      <c r="A19" s="1" t="s">
        <v>12</v>
      </c>
      <c r="B19" s="23">
        <f>Balance!B7/PL!B5*365</f>
        <v>36.371243121207847</v>
      </c>
      <c r="C19" s="23">
        <f>Balance!C7/PL!C5*365</f>
        <v>41.21020905766018</v>
      </c>
      <c r="D19" s="23">
        <f>Balance!D7/PL!D5*365</f>
        <v>46.034551267000197</v>
      </c>
      <c r="E19" s="7">
        <v>32</v>
      </c>
      <c r="F19" t="s">
        <v>16</v>
      </c>
    </row>
    <row r="20" spans="1:8" x14ac:dyDescent="0.2">
      <c r="A20" s="1" t="s">
        <v>13</v>
      </c>
      <c r="B20" s="23">
        <f>Balance!B17/PL!B6*365</f>
        <v>30.314175881543353</v>
      </c>
      <c r="C20" s="23">
        <f>Balance!C17/PL!C6*365</f>
        <v>28.827753989879334</v>
      </c>
      <c r="D20" s="23">
        <f>Balance!D17/PL!D6*365</f>
        <v>26.851738373218087</v>
      </c>
      <c r="E20" s="7">
        <v>33</v>
      </c>
      <c r="F20" t="s">
        <v>16</v>
      </c>
    </row>
    <row r="21" spans="1:8" x14ac:dyDescent="0.2">
      <c r="A21" s="1" t="s">
        <v>14</v>
      </c>
      <c r="B21" s="23">
        <f>B18+B19-B20</f>
        <v>130.18928687803003</v>
      </c>
      <c r="C21" s="23">
        <f>C18+C19-C20</f>
        <v>148.47957456953253</v>
      </c>
      <c r="D21" s="23">
        <f>D18+D19-D20</f>
        <v>160.6106010638137</v>
      </c>
      <c r="E21" s="26">
        <f>E18+E19-E20</f>
        <v>109</v>
      </c>
      <c r="F21" t="s">
        <v>16</v>
      </c>
    </row>
    <row r="23" spans="1:8" x14ac:dyDescent="0.2">
      <c r="A23" s="1" t="s">
        <v>82</v>
      </c>
      <c r="B23" s="6">
        <f>PL!B13*(1-0.35)</f>
        <v>2122.25</v>
      </c>
      <c r="C23" s="3">
        <f>PL!C13*(1-0.35)</f>
        <v>3617.9</v>
      </c>
      <c r="D23" s="3">
        <f>PL!D13*(1-0.35)</f>
        <v>6199.7</v>
      </c>
    </row>
    <row r="24" spans="1:8" x14ac:dyDescent="0.2">
      <c r="A24" s="1" t="s">
        <v>83</v>
      </c>
      <c r="B24" s="4">
        <v>0.35</v>
      </c>
      <c r="C24" s="4">
        <v>0.35</v>
      </c>
      <c r="D24" s="4">
        <v>0.35</v>
      </c>
    </row>
    <row r="25" spans="1:8" x14ac:dyDescent="0.2">
      <c r="A25" s="1" t="s">
        <v>84</v>
      </c>
      <c r="B25" s="22">
        <f>Balance!B22+Balance!B28</f>
        <v>30030</v>
      </c>
      <c r="C25" s="22">
        <f>Balance!C22+Balance!C28</f>
        <v>46489</v>
      </c>
      <c r="D25" s="22">
        <f>Balance!D22+Balance!D28</f>
        <v>65030</v>
      </c>
    </row>
    <row r="26" spans="1:8" x14ac:dyDescent="0.2">
      <c r="A26" s="1" t="s">
        <v>85</v>
      </c>
      <c r="B26" s="4">
        <v>0.1</v>
      </c>
      <c r="C26" s="4">
        <v>0.1</v>
      </c>
      <c r="D26" s="4">
        <v>0.1</v>
      </c>
    </row>
    <row r="27" spans="1:8" x14ac:dyDescent="0.2">
      <c r="A27" s="1" t="s">
        <v>86</v>
      </c>
      <c r="B27" s="3">
        <f>B25*B26</f>
        <v>3003</v>
      </c>
      <c r="C27" s="3">
        <f>C25*C26</f>
        <v>4648.9000000000005</v>
      </c>
      <c r="D27" s="3">
        <f>D25*D26</f>
        <v>6503</v>
      </c>
    </row>
    <row r="30" spans="1:8" x14ac:dyDescent="0.2">
      <c r="H30" t="s">
        <v>16</v>
      </c>
    </row>
  </sheetData>
  <phoneticPr fontId="3" type="noConversion"/>
  <pageMargins left="0.75" right="0.75" top="1" bottom="1" header="0.5" footer="0.5"/>
  <pageSetup orientation="portrait" horizontalDpi="4294967293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0" sqref="C10"/>
    </sheetView>
  </sheetViews>
  <sheetFormatPr defaultColWidth="8.85546875" defaultRowHeight="12.75" x14ac:dyDescent="0.2"/>
  <cols>
    <col min="1" max="1" width="52.85546875" customWidth="1"/>
    <col min="3" max="3" width="10.85546875" customWidth="1"/>
  </cols>
  <sheetData>
    <row r="1" spans="1:7" x14ac:dyDescent="0.2">
      <c r="A1" s="1" t="s">
        <v>94</v>
      </c>
    </row>
    <row r="3" spans="1:7" x14ac:dyDescent="0.2">
      <c r="B3" s="15">
        <v>2015</v>
      </c>
      <c r="C3" s="15">
        <v>2016</v>
      </c>
      <c r="D3" s="15">
        <v>2016</v>
      </c>
      <c r="E3" s="15">
        <v>2016</v>
      </c>
      <c r="F3" s="15">
        <v>2016</v>
      </c>
      <c r="G3" s="15">
        <v>2016</v>
      </c>
    </row>
    <row r="4" spans="1:7" x14ac:dyDescent="0.2">
      <c r="A4" s="9" t="s">
        <v>17</v>
      </c>
      <c r="B4" s="10"/>
      <c r="C4" s="10">
        <v>6.5000000000000002E-2</v>
      </c>
      <c r="D4" s="10">
        <v>6.5000000000000002E-2</v>
      </c>
      <c r="E4" s="10">
        <v>6.5000000000000002E-2</v>
      </c>
      <c r="F4" s="10">
        <v>6.5000000000000002E-2</v>
      </c>
      <c r="G4" s="10">
        <v>6.5000000000000002E-2</v>
      </c>
    </row>
    <row r="5" spans="1:7" x14ac:dyDescent="0.2">
      <c r="A5" s="9" t="s">
        <v>18</v>
      </c>
      <c r="B5" s="10"/>
      <c r="C5" s="11">
        <v>0.04</v>
      </c>
      <c r="D5" s="11">
        <v>0.04</v>
      </c>
      <c r="E5" s="11">
        <v>0.04</v>
      </c>
      <c r="F5" s="11">
        <v>0.04</v>
      </c>
      <c r="G5" s="11">
        <v>0.04</v>
      </c>
    </row>
    <row r="6" spans="1:7" x14ac:dyDescent="0.2">
      <c r="A6" s="9" t="s">
        <v>19</v>
      </c>
      <c r="B6" s="10">
        <v>1.3</v>
      </c>
      <c r="C6" s="10">
        <v>1.25</v>
      </c>
      <c r="D6" s="10">
        <v>1.25</v>
      </c>
      <c r="E6" s="10">
        <v>1.25</v>
      </c>
      <c r="F6" s="10">
        <v>1.25</v>
      </c>
      <c r="G6" s="10">
        <v>1.25</v>
      </c>
    </row>
    <row r="7" spans="1:7" x14ac:dyDescent="0.2">
      <c r="A7" s="9" t="s">
        <v>20</v>
      </c>
      <c r="B7" s="10"/>
      <c r="C7" s="11">
        <v>1.05</v>
      </c>
      <c r="D7" s="11">
        <v>1.1000000000000001</v>
      </c>
      <c r="E7" s="11">
        <v>1.1499999999999999</v>
      </c>
      <c r="F7" s="11">
        <v>1.2</v>
      </c>
      <c r="G7" s="11">
        <v>1.25</v>
      </c>
    </row>
    <row r="8" spans="1:7" x14ac:dyDescent="0.2">
      <c r="A8" s="12" t="s">
        <v>28</v>
      </c>
      <c r="B8" s="8"/>
      <c r="C8" s="13">
        <f>C14-C12-B15</f>
        <v>-4221.7552500000002</v>
      </c>
      <c r="D8" s="13">
        <f>D14-D12-B15</f>
        <v>-941.26050000000032</v>
      </c>
      <c r="E8" s="13">
        <f>E14-E12-B15</f>
        <v>2339.2342500000004</v>
      </c>
      <c r="F8" s="13">
        <f>F14-F12-B15</f>
        <v>5619.7290000000012</v>
      </c>
      <c r="G8" s="13">
        <f>G14-G12-B15</f>
        <v>8900.2237499999992</v>
      </c>
    </row>
    <row r="9" spans="1:7" x14ac:dyDescent="0.2">
      <c r="A9" s="9" t="s">
        <v>21</v>
      </c>
      <c r="B9" s="14">
        <v>55367</v>
      </c>
      <c r="C9" s="14">
        <f>B9*C7</f>
        <v>58135.350000000006</v>
      </c>
      <c r="D9" s="14">
        <f>B9*D7</f>
        <v>60903.700000000004</v>
      </c>
      <c r="E9" s="14">
        <f>B9*E7</f>
        <v>63672.049999999996</v>
      </c>
      <c r="F9" s="14">
        <f>B9*F7</f>
        <v>66440.399999999994</v>
      </c>
      <c r="G9" s="14">
        <f>B9*G7</f>
        <v>69208.75</v>
      </c>
    </row>
    <row r="10" spans="1:7" x14ac:dyDescent="0.2">
      <c r="A10" s="9" t="s">
        <v>22</v>
      </c>
      <c r="B10" s="14">
        <v>1882</v>
      </c>
      <c r="C10" s="14">
        <f>C9*C5</f>
        <v>2325.4140000000002</v>
      </c>
      <c r="D10" s="14">
        <f>D9*D5</f>
        <v>2436.1480000000001</v>
      </c>
      <c r="E10" s="14">
        <f>E9*E5</f>
        <v>2546.8820000000001</v>
      </c>
      <c r="F10" s="14">
        <f>F9*F5</f>
        <v>2657.616</v>
      </c>
      <c r="G10" s="14">
        <f>G9*G5</f>
        <v>2768.35</v>
      </c>
    </row>
    <row r="11" spans="1:7" x14ac:dyDescent="0.2">
      <c r="A11" s="9" t="s">
        <v>23</v>
      </c>
      <c r="B11" s="14">
        <v>72144</v>
      </c>
      <c r="C11" s="14">
        <f>C6*C9</f>
        <v>72669.1875</v>
      </c>
      <c r="D11" s="14">
        <f>D6*D9</f>
        <v>76129.625</v>
      </c>
      <c r="E11" s="14">
        <f>E6*E9</f>
        <v>79590.0625</v>
      </c>
      <c r="F11" s="14">
        <f>F6*F9</f>
        <v>83050.5</v>
      </c>
      <c r="G11" s="14">
        <f>G6*G9</f>
        <v>86510.9375</v>
      </c>
    </row>
    <row r="12" spans="1:7" x14ac:dyDescent="0.2">
      <c r="A12" s="9" t="s">
        <v>24</v>
      </c>
      <c r="B12" s="14">
        <v>10697</v>
      </c>
      <c r="C12" s="14">
        <f>C13*C4</f>
        <v>179.94275000000039</v>
      </c>
      <c r="D12" s="14">
        <f>D13*D4</f>
        <v>359.88550000000032</v>
      </c>
      <c r="E12" s="14">
        <f>E13*E4</f>
        <v>539.82824999999968</v>
      </c>
      <c r="F12" s="14">
        <f>F13*F4</f>
        <v>719.77099999999962</v>
      </c>
      <c r="G12" s="14">
        <f>G13*G4</f>
        <v>899.71375</v>
      </c>
    </row>
    <row r="13" spans="1:7" x14ac:dyDescent="0.2">
      <c r="A13" s="9" t="s">
        <v>25</v>
      </c>
      <c r="B13" s="10"/>
      <c r="C13" s="14">
        <f>C9-B9</f>
        <v>2768.3500000000058</v>
      </c>
      <c r="D13" s="14">
        <f>D9-B9</f>
        <v>5536.7000000000044</v>
      </c>
      <c r="E13" s="14">
        <f>E9-B9</f>
        <v>8305.0499999999956</v>
      </c>
      <c r="F13" s="14">
        <f>F9-B9</f>
        <v>11073.399999999994</v>
      </c>
      <c r="G13" s="14">
        <f>G9-B9</f>
        <v>13841.75</v>
      </c>
    </row>
    <row r="14" spans="1:7" x14ac:dyDescent="0.2">
      <c r="A14" s="9" t="s">
        <v>26</v>
      </c>
      <c r="B14" s="10"/>
      <c r="C14" s="14">
        <f>C11-B11</f>
        <v>525.1875</v>
      </c>
      <c r="D14" s="14">
        <f>D11-B11</f>
        <v>3985.625</v>
      </c>
      <c r="E14" s="14">
        <f>E11-B11</f>
        <v>7446.0625</v>
      </c>
      <c r="F14" s="14">
        <f>F11-B11</f>
        <v>10906.5</v>
      </c>
      <c r="G14" s="14">
        <f>G11-B11</f>
        <v>14366.9375</v>
      </c>
    </row>
    <row r="15" spans="1:7" x14ac:dyDescent="0.2">
      <c r="A15" s="9" t="s">
        <v>27</v>
      </c>
      <c r="B15" s="14">
        <v>4567</v>
      </c>
    </row>
  </sheetData>
  <phoneticPr fontId="3" type="noConversion"/>
  <pageMargins left="0.75" right="0.75" top="1" bottom="1" header="0.5" footer="0.5"/>
  <pageSetup orientation="portrait" horizontalDpi="4294967293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</vt:lpstr>
      <vt:lpstr>Balance</vt:lpstr>
      <vt:lpstr>CashFlow</vt:lpstr>
      <vt:lpstr>Ratios</vt:lpstr>
      <vt:lpstr>AFN</vt:lpstr>
    </vt:vector>
  </TitlesOfParts>
  <Company>Ryder System,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Ryder</dc:creator>
  <cp:lastModifiedBy>Masson, Dubos Joseph</cp:lastModifiedBy>
  <cp:lastPrinted>2007-09-12T22:14:13Z</cp:lastPrinted>
  <dcterms:created xsi:type="dcterms:W3CDTF">2007-09-07T15:17:43Z</dcterms:created>
  <dcterms:modified xsi:type="dcterms:W3CDTF">2016-09-27T18:54:47Z</dcterms:modified>
</cp:coreProperties>
</file>